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3535" windowHeight="15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<sst xmlns="http://schemas.openxmlformats.org/spreadsheetml/2006/main" count="81" uniqueCount="48">
  <si>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K</t>
  </si>
  <si>
    <t>S</t>
  </si>
  <si>
    <t>rd</t>
  </si>
  <si>
    <t>v</t>
  </si>
  <si>
    <t>t</t>
  </si>
  <si>
    <t>d1</t>
  </si>
  <si>
    <t>d2</t>
  </si>
  <si>
    <t>b</t>
  </si>
  <si>
    <t>Smin</t>
  </si>
  <si>
    <t>Smax</t>
  </si>
  <si>
    <t>K&lt;Smax</t>
  </si>
  <si>
    <t>Fixed Strike lookback Put</t>
  </si>
  <si>
    <t>S&gt;K</t>
  </si>
  <si>
    <t>K&gt;Smin</t>
  </si>
  <si>
    <t>Fixed Strike lookback call</t>
  </si>
  <si>
    <t>S&lt;=K</t>
  </si>
  <si>
    <t>Y1</t>
  </si>
  <si>
    <t>A1</t>
  </si>
  <si>
    <t>d</t>
  </si>
  <si>
    <t>d3</t>
  </si>
  <si>
    <t>N(d1)</t>
  </si>
  <si>
    <t>N(-d1)</t>
  </si>
  <si>
    <t>N(d2)</t>
  </si>
  <si>
    <t>n(-d3)</t>
  </si>
  <si>
    <t>xx</t>
  </si>
  <si>
    <t>N(d1)</t>
  </si>
  <si>
    <t>n(d3)</t>
  </si>
  <si>
    <t>Value</t>
  </si>
  <si>
    <t>N(-d1)</t>
  </si>
  <si>
    <t>N(-d2)</t>
  </si>
  <si>
    <t>n(-d3)</t>
  </si>
  <si>
    <t>A2</t>
  </si>
  <si>
    <t>N(-d2)</t>
  </si>
  <si>
    <t>n(d3)</t>
  </si>
  <si>
    <t>XXX1</t>
  </si>
  <si>
    <t>XXX2</t>
  </si>
  <si>
    <t>dXXX1</t>
  </si>
  <si>
    <t>A1/S</t>
  </si>
  <si>
    <t>d3/ds</t>
  </si>
  <si>
    <t>N(d3)</t>
  </si>
  <si>
    <t>eBT</t>
  </si>
  <si>
    <t>n(d1)</t>
  </si>
  <si>
    <t>d1/ds</t>
  </si>
  <si>
    <t>c12</t>
  </si>
  <si>
    <t>c11</t>
  </si>
  <si>
    <t>c13</t>
  </si>
  <si>
    <t>Floating strike lookback call</t>
  </si>
  <si>
    <t>Floating strike lookback Put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</si>
</sst>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E+00"/>
    <numFmt numFmtId="181" formatCode="0E+00"/>
    <numFmt numFmtId="182" formatCode="#,##0.0;[Red]\-#,##0.0"/>
    <numFmt numFmtId="183" formatCode="0.000000"/>
    <numFmt numFmtId="184" formatCode="0.00_);[Red]\(0.00\)"/>
    <numFmt numFmtId="185" formatCode="#,##0.000;[Red]\-#,##0.000"/>
    <numFmt numFmtId="186" formatCode="#,##0.0000;[Red]\-#,##0.0000"/>
    <numFmt numFmtId="187" formatCode="0.0000000"/>
    <numFmt numFmtId="188" formatCode="0.00000000"/>
    <numFmt numFmtId="189" formatCode="0.000000000"/>
    <numFmt numFmtId="190" formatCode="0.0000_);[Red]\(0.0000\)"/>
    <numFmt numFmtId="191" formatCode="0.0000000_);[Red]\(0.0000000\)"/>
    <numFmt numFmtId="192" formatCode="0.00000000000_);[Red]\(0.00000000000\)"/>
    <numFmt numFmtId="193" formatCode="#,##0.00000;[Red]\-#,##0.00000"/>
    <numFmt numFmtId="194" formatCode="#,##0.000000;[Red]\-#,##0.000000"/>
    <numFmt numFmtId="195" formatCode="#,##0.0000000;[Red]\-#,##0.0000000"/>
    <numFmt numFmtId="196" formatCode="#,##0.00_ ;[Red]\-#,##0.00\ "/>
    <numFmt numFmtId="197" formatCode="#,##0.0000000_ ;[Red]\-#,##0.0000000\ "/>
  </numFmts>
  <fonts count="3">
    <font>
      <sz val="11"/>
      <name val="ＭＳ ゴシック"/>
      <family val="0"/>
    </font>
    <font>
      <sz val="6"/>
      <name val="ＭＳ ゴシック"/>
      <family val="3"/>
    </font>
    <font>
      <b/>
      <sz val="11"/>
      <name val="ＭＳ ゴシック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40" fontId="0" fillId="0" borderId="0" xfId="16" applyNumberFormat="1" applyFill="1" applyAlignment="1">
      <alignment/>
    </xf>
    <xf numFmtId="186" fontId="0" fillId="0" borderId="0" xfId="16" applyNumberFormat="1" applyAlignment="1">
      <alignment/>
    </xf>
    <xf numFmtId="186" fontId="0" fillId="0" borderId="0" xfId="16" applyNumberFormat="1" applyFill="1" applyAlignment="1">
      <alignment/>
    </xf>
    <xf numFmtId="178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178" fontId="0" fillId="2" borderId="0" xfId="0" applyNumberFormat="1" applyFill="1" applyAlignment="1">
      <alignment/>
    </xf>
    <xf numFmtId="178" fontId="0" fillId="3" borderId="0" xfId="0" applyNumberFormat="1" applyFill="1" applyAlignment="1">
      <alignment/>
    </xf>
    <xf numFmtId="186" fontId="0" fillId="4" borderId="0" xfId="16" applyNumberFormat="1" applyFill="1" applyAlignment="1">
      <alignment/>
    </xf>
    <xf numFmtId="195" fontId="0" fillId="0" borderId="0" xfId="16" applyNumberForma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186" fontId="0" fillId="5" borderId="0" xfId="16" applyNumberFormat="1" applyFill="1" applyAlignment="1">
      <alignment/>
    </xf>
    <xf numFmtId="0" fontId="0" fillId="0" borderId="1" xfId="0" applyBorder="1" applyAlignment="1">
      <alignment horizontal="center"/>
    </xf>
    <xf numFmtId="178" fontId="0" fillId="0" borderId="2" xfId="0" applyNumberFormat="1" applyFill="1" applyBorder="1" applyAlignment="1">
      <alignment/>
    </xf>
    <xf numFmtId="178" fontId="0" fillId="0" borderId="2" xfId="0" applyNumberFormat="1" applyFill="1" applyBorder="1" applyAlignment="1">
      <alignment horizontal="center"/>
    </xf>
    <xf numFmtId="178" fontId="0" fillId="0" borderId="3" xfId="0" applyNumberFormat="1" applyFill="1" applyBorder="1" applyAlignment="1">
      <alignment/>
    </xf>
    <xf numFmtId="0" fontId="0" fillId="0" borderId="4" xfId="0" applyFill="1" applyBorder="1" applyAlignment="1">
      <alignment horizontal="center"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8" fontId="0" fillId="0" borderId="5" xfId="0" applyNumberFormat="1" applyFill="1" applyBorder="1" applyAlignment="1">
      <alignment/>
    </xf>
    <xf numFmtId="178" fontId="0" fillId="3" borderId="0" xfId="0" applyNumberFormat="1" applyFill="1" applyBorder="1" applyAlignment="1">
      <alignment/>
    </xf>
    <xf numFmtId="178" fontId="0" fillId="3" borderId="5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187" fontId="0" fillId="0" borderId="5" xfId="0" applyNumberFormat="1" applyFill="1" applyBorder="1" applyAlignment="1">
      <alignment/>
    </xf>
    <xf numFmtId="0" fontId="0" fillId="0" borderId="6" xfId="0" applyFill="1" applyBorder="1" applyAlignment="1">
      <alignment horizontal="center"/>
    </xf>
    <xf numFmtId="187" fontId="0" fillId="3" borderId="7" xfId="0" applyNumberFormat="1" applyFill="1" applyBorder="1" applyAlignment="1">
      <alignment/>
    </xf>
    <xf numFmtId="0" fontId="0" fillId="0" borderId="7" xfId="0" applyFill="1" applyBorder="1" applyAlignment="1">
      <alignment horizontal="center"/>
    </xf>
    <xf numFmtId="187" fontId="0" fillId="3" borderId="8" xfId="0" applyNumberFormat="1" applyFill="1" applyBorder="1" applyAlignment="1">
      <alignment/>
    </xf>
    <xf numFmtId="0" fontId="0" fillId="6" borderId="4" xfId="0" applyFill="1" applyBorder="1" applyAlignment="1">
      <alignment horizontal="center"/>
    </xf>
    <xf numFmtId="178" fontId="0" fillId="6" borderId="0" xfId="0" applyNumberFormat="1" applyFill="1" applyBorder="1" applyAlignment="1">
      <alignment/>
    </xf>
    <xf numFmtId="0" fontId="0" fillId="6" borderId="0" xfId="0" applyFill="1" applyBorder="1" applyAlignment="1">
      <alignment horizontal="center"/>
    </xf>
    <xf numFmtId="178" fontId="0" fillId="6" borderId="5" xfId="0" applyNumberFormat="1" applyFill="1" applyBorder="1" applyAlignment="1">
      <alignment/>
    </xf>
    <xf numFmtId="195" fontId="0" fillId="3" borderId="7" xfId="16" applyNumberFormat="1" applyFill="1" applyBorder="1" applyAlignment="1">
      <alignment/>
    </xf>
    <xf numFmtId="195" fontId="0" fillId="3" borderId="8" xfId="16" applyNumberFormat="1" applyFill="1" applyBorder="1" applyAlignment="1">
      <alignment/>
    </xf>
    <xf numFmtId="187" fontId="0" fillId="3" borderId="0" xfId="0" applyNumberFormat="1" applyFill="1" applyBorder="1" applyAlignment="1">
      <alignment/>
    </xf>
    <xf numFmtId="195" fontId="0" fillId="3" borderId="0" xfId="16" applyNumberFormat="1" applyFill="1" applyBorder="1" applyAlignment="1">
      <alignment/>
    </xf>
    <xf numFmtId="0" fontId="0" fillId="6" borderId="1" xfId="0" applyFill="1" applyBorder="1" applyAlignment="1">
      <alignment horizontal="center"/>
    </xf>
    <xf numFmtId="178" fontId="0" fillId="6" borderId="2" xfId="0" applyNumberFormat="1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0"/>
  <sheetViews>
    <sheetView tabSelected="1" workbookViewId="0" topLeftCell="A1">
      <selection activeCell="K35" sqref="K35"/>
    </sheetView>
  </sheetViews>
  <sheetFormatPr defaultColWidth="8.796875" defaultRowHeight="14.25"/>
  <cols>
    <col min="3" max="3" width="16.19921875" style="0" customWidth="1"/>
    <col min="4" max="4" width="14.69921875" style="0" customWidth="1"/>
    <col min="5" max="5" width="6.59765625" style="0" customWidth="1"/>
    <col min="6" max="6" width="19.09765625" style="0" customWidth="1"/>
    <col min="7" max="7" width="7.8984375" style="0" customWidth="1"/>
    <col min="8" max="8" width="15.5" style="0" customWidth="1"/>
    <col min="9" max="9" width="12.5" style="0" customWidth="1"/>
    <col min="10" max="10" width="7.3984375" style="0" customWidth="1"/>
    <col min="11" max="11" width="19.5" style="0" customWidth="1"/>
    <col min="12" max="15" width="12.5" style="0" customWidth="1"/>
    <col min="16" max="16" width="2.19921875" style="0" customWidth="1"/>
  </cols>
  <sheetData>
    <row r="1" ht="13.5">
      <c r="G1" s="7"/>
    </row>
    <row r="2" spans="3:23" ht="27">
      <c r="C2" s="4" t="s">
        <v>14</v>
      </c>
      <c r="D2" s="4"/>
      <c r="E2" s="4"/>
      <c r="F2" s="4" t="s">
        <v>46</v>
      </c>
      <c r="G2" s="19"/>
      <c r="H2" s="4" t="s">
        <v>11</v>
      </c>
      <c r="I2" s="3"/>
      <c r="J2" s="3"/>
      <c r="K2" s="4" t="s">
        <v>47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3:23" ht="13.5">
      <c r="C3" s="3" t="s">
        <v>15</v>
      </c>
      <c r="D3" s="3" t="s">
        <v>10</v>
      </c>
      <c r="E3" s="3"/>
      <c r="F3" s="3"/>
      <c r="G3" s="20"/>
      <c r="H3" s="3" t="s">
        <v>12</v>
      </c>
      <c r="I3" s="3" t="s">
        <v>13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11" ht="13.5">
      <c r="B4" s="21" t="s">
        <v>1</v>
      </c>
      <c r="C4" s="1">
        <v>1</v>
      </c>
      <c r="D4">
        <f aca="true" t="shared" si="0" ref="D4:D9">+C4</f>
        <v>1</v>
      </c>
      <c r="F4">
        <f>+D4</f>
        <v>1</v>
      </c>
      <c r="G4" s="21" t="s">
        <v>1</v>
      </c>
      <c r="H4" s="7">
        <f aca="true" t="shared" si="1" ref="H4:H9">+C4</f>
        <v>1</v>
      </c>
      <c r="I4">
        <f aca="true" t="shared" si="2" ref="I4:I9">+H4</f>
        <v>1</v>
      </c>
      <c r="K4">
        <f>+H4</f>
        <v>1</v>
      </c>
    </row>
    <row r="5" spans="2:9" ht="13.5">
      <c r="B5" s="21" t="s">
        <v>0</v>
      </c>
      <c r="C5" s="1">
        <v>1</v>
      </c>
      <c r="D5">
        <f t="shared" si="0"/>
        <v>1</v>
      </c>
      <c r="F5">
        <v>0</v>
      </c>
      <c r="G5" s="21" t="s">
        <v>0</v>
      </c>
      <c r="H5" s="7">
        <f t="shared" si="1"/>
        <v>1</v>
      </c>
      <c r="I5">
        <f t="shared" si="2"/>
        <v>1</v>
      </c>
    </row>
    <row r="6" spans="2:11" ht="13.5">
      <c r="B6" s="21" t="s">
        <v>3</v>
      </c>
      <c r="C6" s="1">
        <v>0.1</v>
      </c>
      <c r="D6">
        <f t="shared" si="0"/>
        <v>0.1</v>
      </c>
      <c r="F6">
        <f>+D6</f>
        <v>0.1</v>
      </c>
      <c r="G6" s="21" t="s">
        <v>3</v>
      </c>
      <c r="H6" s="7">
        <f t="shared" si="1"/>
        <v>0.1</v>
      </c>
      <c r="I6">
        <f t="shared" si="2"/>
        <v>0.1</v>
      </c>
      <c r="K6">
        <f>+H6</f>
        <v>0.1</v>
      </c>
    </row>
    <row r="7" spans="2:11" ht="13.5">
      <c r="B7" s="21" t="s">
        <v>2</v>
      </c>
      <c r="C7" s="1">
        <v>0.1</v>
      </c>
      <c r="D7">
        <f t="shared" si="0"/>
        <v>0.1</v>
      </c>
      <c r="F7">
        <f>+D7</f>
        <v>0.1</v>
      </c>
      <c r="G7" s="21" t="s">
        <v>2</v>
      </c>
      <c r="H7" s="7">
        <f t="shared" si="1"/>
        <v>0.1</v>
      </c>
      <c r="I7">
        <f t="shared" si="2"/>
        <v>0.1</v>
      </c>
      <c r="K7">
        <f>+H7</f>
        <v>0.1</v>
      </c>
    </row>
    <row r="8" spans="2:11" ht="13.5">
      <c r="B8" s="21" t="s">
        <v>18</v>
      </c>
      <c r="C8" s="1">
        <v>0</v>
      </c>
      <c r="D8">
        <f t="shared" si="0"/>
        <v>0</v>
      </c>
      <c r="F8">
        <f>+D8</f>
        <v>0</v>
      </c>
      <c r="G8" s="21" t="s">
        <v>18</v>
      </c>
      <c r="H8" s="7">
        <f t="shared" si="1"/>
        <v>0</v>
      </c>
      <c r="I8">
        <f t="shared" si="2"/>
        <v>0</v>
      </c>
      <c r="K8">
        <f>+H8</f>
        <v>0</v>
      </c>
    </row>
    <row r="9" spans="2:11" ht="13.5">
      <c r="B9" s="21" t="s">
        <v>4</v>
      </c>
      <c r="C9" s="1">
        <v>1</v>
      </c>
      <c r="D9">
        <f t="shared" si="0"/>
        <v>1</v>
      </c>
      <c r="F9">
        <f>+D9</f>
        <v>1</v>
      </c>
      <c r="G9" s="21" t="s">
        <v>4</v>
      </c>
      <c r="H9" s="7">
        <f t="shared" si="1"/>
        <v>1</v>
      </c>
      <c r="I9">
        <f t="shared" si="2"/>
        <v>1</v>
      </c>
      <c r="K9">
        <f>+H9</f>
        <v>1</v>
      </c>
    </row>
    <row r="10" spans="2:10" ht="13.5">
      <c r="B10" s="21" t="s">
        <v>8</v>
      </c>
      <c r="F10" s="1">
        <f>+F4</f>
        <v>1</v>
      </c>
      <c r="G10" s="21" t="s">
        <v>8</v>
      </c>
      <c r="I10" s="7">
        <f>+F10</f>
        <v>1</v>
      </c>
      <c r="J10" s="7"/>
    </row>
    <row r="11" spans="2:16" ht="13.5">
      <c r="B11" s="21" t="s">
        <v>9</v>
      </c>
      <c r="D11" s="1">
        <v>1</v>
      </c>
      <c r="E11" s="7"/>
      <c r="F11" s="7"/>
      <c r="G11" s="21" t="s">
        <v>9</v>
      </c>
      <c r="I11" s="7"/>
      <c r="J11" s="7"/>
      <c r="K11" s="7">
        <f>+D11</f>
        <v>1</v>
      </c>
      <c r="L11" s="7"/>
      <c r="M11" s="7"/>
      <c r="N11" s="7"/>
      <c r="O11" s="7"/>
      <c r="P11" s="7"/>
    </row>
    <row r="12" spans="2:7" ht="13.5">
      <c r="B12" s="21"/>
      <c r="G12" s="21"/>
    </row>
    <row r="13" spans="2:16" ht="13.5">
      <c r="B13" s="21" t="s">
        <v>7</v>
      </c>
      <c r="C13" s="2">
        <f>+-C8+C7</f>
        <v>0.1</v>
      </c>
      <c r="D13" s="2">
        <f>+-D8+D7</f>
        <v>0.1</v>
      </c>
      <c r="E13" s="2"/>
      <c r="F13" s="2">
        <f>+-F8+F7</f>
        <v>0.1</v>
      </c>
      <c r="G13" s="21" t="s">
        <v>7</v>
      </c>
      <c r="H13" s="2">
        <f>+-H8+H7</f>
        <v>0.1</v>
      </c>
      <c r="I13" s="2">
        <f>+-I8+I7</f>
        <v>0.1</v>
      </c>
      <c r="J13" s="2"/>
      <c r="K13" s="2">
        <f>+-K8+K7</f>
        <v>0.1</v>
      </c>
      <c r="L13" s="2"/>
      <c r="M13" s="2"/>
      <c r="N13" s="2"/>
      <c r="O13" s="2"/>
      <c r="P13" s="2"/>
    </row>
    <row r="14" spans="2:16" ht="13.5">
      <c r="B14" s="21" t="s">
        <v>5</v>
      </c>
      <c r="C14" s="2">
        <f>+(LN($C$4/$C$5)+($C$13+0.5*$C$6^2)*$C$9)/$C$6/SQRT($C$9)</f>
        <v>1.05</v>
      </c>
      <c r="D14" s="2">
        <f>+(LN(D4/D11)+(D13+0.5*D6^2)*D9)/D6/SQRT(D9)</f>
        <v>1.05</v>
      </c>
      <c r="E14" s="2"/>
      <c r="F14" s="2">
        <f>+(LN(F4/F10)+(F13+0.5*F6^2)*F9)/F6/SQRT(F9)</f>
        <v>1.05</v>
      </c>
      <c r="G14" s="21" t="s">
        <v>5</v>
      </c>
      <c r="H14" s="2">
        <f>+(LN(H4/H5)+(H13+0.5*H6^2)*H9)/H6/SQRT(H9)</f>
        <v>1.05</v>
      </c>
      <c r="I14" s="2">
        <f>+(LN(I4/I10)+(I13+0.5*I6^2)*I9)/I6/SQRT(I9)</f>
        <v>1.05</v>
      </c>
      <c r="J14" s="2"/>
      <c r="K14" s="2">
        <f>+(LN(K4/K11)+(K13+0.5*K6^2)*K9)/K6/SQRT(K9)</f>
        <v>1.05</v>
      </c>
      <c r="L14" s="2"/>
      <c r="M14" s="2"/>
      <c r="N14" s="2"/>
      <c r="O14" s="2"/>
      <c r="P14" s="2"/>
    </row>
    <row r="15" spans="2:16" ht="13.5">
      <c r="B15" s="21" t="s">
        <v>6</v>
      </c>
      <c r="C15" s="2">
        <f>+C14-C6*SQRT(C9)</f>
        <v>0.9500000000000001</v>
      </c>
      <c r="D15" s="2">
        <f>+D14-D6*SQRT(D9)</f>
        <v>0.9500000000000001</v>
      </c>
      <c r="E15" s="2"/>
      <c r="F15" s="2">
        <f>+F14-F6*SQRT(F9)</f>
        <v>0.9500000000000001</v>
      </c>
      <c r="G15" s="21" t="s">
        <v>6</v>
      </c>
      <c r="H15" s="2">
        <f>+H14-H6*SQRT(H9)</f>
        <v>0.9500000000000001</v>
      </c>
      <c r="I15" s="2">
        <f>+I14-I6*SQRT(I9)</f>
        <v>0.9500000000000001</v>
      </c>
      <c r="J15" s="2"/>
      <c r="K15" s="2">
        <f>+K14-K6*SQRT(K9)</f>
        <v>0.9500000000000001</v>
      </c>
      <c r="L15" s="2"/>
      <c r="M15" s="2"/>
      <c r="N15" s="2"/>
      <c r="O15" s="2"/>
      <c r="P15" s="2"/>
    </row>
    <row r="16" spans="2:16" ht="13.5">
      <c r="B16" s="21" t="s">
        <v>19</v>
      </c>
      <c r="C16" s="2">
        <f>+(LN(C4/C5)+(-C13+C6*C6/2)*C9)/C6/SQRT(C9)</f>
        <v>-0.95</v>
      </c>
      <c r="D16" s="2">
        <f>+(LN(D4/D11)+(-D13+D6*D6/2)*D9)/D6/SQRT(D9)</f>
        <v>-0.95</v>
      </c>
      <c r="E16" s="2"/>
      <c r="F16" s="2">
        <f>+(LN(F4/F10)+(-F13+F6*F6/2)*F9)/F6/SQRT(F9)</f>
        <v>-0.95</v>
      </c>
      <c r="G16" s="21" t="s">
        <v>19</v>
      </c>
      <c r="H16" s="2">
        <f>+(LN(H4/H5)+(-H13+H6*H6/2)*H9)/H6/SQRT(H9)</f>
        <v>-0.95</v>
      </c>
      <c r="I16" s="2">
        <f>+(LN(I4/I10)+(-I13+I6*I6/2)*I9)/I6/SQRT(I9)</f>
        <v>-0.95</v>
      </c>
      <c r="J16" s="2"/>
      <c r="K16" s="2">
        <f>+(LN(K4/K11)+(-K13+K6*K6/2)*K9)/K6/SQRT(K9)</f>
        <v>-0.95</v>
      </c>
      <c r="L16" s="2"/>
      <c r="M16" s="2"/>
      <c r="N16" s="2"/>
      <c r="O16" s="2"/>
      <c r="P16" s="2"/>
    </row>
    <row r="17" spans="2:16" ht="13.5">
      <c r="B17" s="22" t="s">
        <v>16</v>
      </c>
      <c r="C17" s="11"/>
      <c r="D17" s="11"/>
      <c r="E17" s="11"/>
      <c r="F17" s="11">
        <f>+(2*(F13-F6*F6/2)*LN(F4/F10))/F6/F6</f>
        <v>0</v>
      </c>
      <c r="G17" s="22" t="s">
        <v>16</v>
      </c>
      <c r="H17" s="11"/>
      <c r="I17" s="11"/>
      <c r="J17" s="11"/>
      <c r="K17" s="11">
        <f>+(2*(K13-K6*K6/2)*LN(K4/K11))/K6/K6</f>
        <v>0</v>
      </c>
      <c r="L17" s="11"/>
      <c r="M17" s="11"/>
      <c r="N17" s="11"/>
      <c r="O17" s="11"/>
      <c r="P17" s="11"/>
    </row>
    <row r="18" spans="2:16" ht="13.5">
      <c r="B18" s="22"/>
      <c r="C18" s="11"/>
      <c r="D18" s="11"/>
      <c r="E18" s="11"/>
      <c r="F18" s="11"/>
      <c r="G18" s="22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4.25" thickBot="1">
      <c r="B19" s="22"/>
      <c r="C19" s="11"/>
      <c r="D19" s="16">
        <f>+EXP(-D7*D9)*(D11-D5)</f>
        <v>0</v>
      </c>
      <c r="E19" s="11"/>
      <c r="F19" s="11"/>
      <c r="G19" s="22"/>
      <c r="H19" s="11"/>
      <c r="I19" s="16">
        <f>+EXP(-I7*I9)*(-I10+I5)</f>
        <v>0</v>
      </c>
      <c r="J19" s="11"/>
      <c r="K19" s="11"/>
      <c r="L19" s="11"/>
      <c r="M19" s="11"/>
      <c r="N19" s="11"/>
      <c r="O19" s="11"/>
      <c r="P19" s="11"/>
    </row>
    <row r="20" spans="1:16" ht="13.5">
      <c r="A20" t="s">
        <v>34</v>
      </c>
      <c r="B20" s="25"/>
      <c r="C20" s="26">
        <f>+C4*EXP(-C8*C9)</f>
        <v>1</v>
      </c>
      <c r="D20" s="26">
        <f>+D4*EXP(-D8*D9)</f>
        <v>1</v>
      </c>
      <c r="E20" s="26"/>
      <c r="F20" s="26">
        <f>+F4*EXP(-F8*F9)</f>
        <v>1</v>
      </c>
      <c r="G20" s="27"/>
      <c r="H20" s="26">
        <f>+H4*EXP(-H8*H9)</f>
        <v>1</v>
      </c>
      <c r="I20" s="26">
        <f>+I4*EXP(-I8*I9)</f>
        <v>1</v>
      </c>
      <c r="J20" s="26"/>
      <c r="K20" s="28">
        <f>+K4*EXP(-K8*K9)</f>
        <v>1</v>
      </c>
      <c r="L20" s="11"/>
      <c r="M20" s="11"/>
      <c r="N20" s="11"/>
      <c r="O20" s="11"/>
      <c r="P20" s="11"/>
    </row>
    <row r="21" spans="2:16" ht="13.5">
      <c r="B21" s="29" t="s">
        <v>20</v>
      </c>
      <c r="C21" s="30">
        <f>NORMSDIST(C14)</f>
        <v>0.8531409191525601</v>
      </c>
      <c r="D21" s="30">
        <f>NORMSDIST(D14)</f>
        <v>0.8531409191525601</v>
      </c>
      <c r="E21" s="31" t="s">
        <v>20</v>
      </c>
      <c r="F21" s="30">
        <f>NORMSDIST(F14)</f>
        <v>0.8531409191525601</v>
      </c>
      <c r="G21" s="31" t="s">
        <v>21</v>
      </c>
      <c r="H21" s="30">
        <f>NORMSDIST(-H14)</f>
        <v>0.14685908084743993</v>
      </c>
      <c r="I21" s="30">
        <f>NORMSDIST(-I14)</f>
        <v>0.14685908084743993</v>
      </c>
      <c r="J21" s="31" t="s">
        <v>28</v>
      </c>
      <c r="K21" s="32">
        <f>NORMSDIST(-K14)</f>
        <v>0.14685908084743993</v>
      </c>
      <c r="L21" s="11"/>
      <c r="M21" s="11"/>
      <c r="N21" s="11"/>
      <c r="O21" s="11"/>
      <c r="P21" s="11"/>
    </row>
    <row r="22" spans="2:16" ht="13.5">
      <c r="B22" s="29" t="s">
        <v>24</v>
      </c>
      <c r="C22" s="33">
        <f>+C20*C21</f>
        <v>0.8531409191525601</v>
      </c>
      <c r="D22" s="33">
        <f>+D20*D21</f>
        <v>0.8531409191525601</v>
      </c>
      <c r="E22" s="31" t="s">
        <v>24</v>
      </c>
      <c r="F22" s="33">
        <f>+F20*F21</f>
        <v>0.8531409191525601</v>
      </c>
      <c r="G22" s="31" t="s">
        <v>24</v>
      </c>
      <c r="H22" s="33">
        <f>+H20*H21</f>
        <v>0.14685908084743993</v>
      </c>
      <c r="I22" s="33">
        <f>+I20*I21</f>
        <v>0.14685908084743993</v>
      </c>
      <c r="J22" s="31" t="s">
        <v>24</v>
      </c>
      <c r="K22" s="34">
        <f>+K20*K21</f>
        <v>0.14685908084743993</v>
      </c>
      <c r="L22" s="11"/>
      <c r="M22" s="11"/>
      <c r="N22" s="11"/>
      <c r="O22" s="11"/>
      <c r="P22" s="11"/>
    </row>
    <row r="23" spans="2:16" ht="13.5">
      <c r="B23" s="29"/>
      <c r="C23" s="30">
        <f>+C5*EXP(-C7*C9)</f>
        <v>0.9048374180359595</v>
      </c>
      <c r="D23" s="30">
        <f>+D11*EXP(-D7*D9)</f>
        <v>0.9048374180359595</v>
      </c>
      <c r="E23" s="31"/>
      <c r="F23" s="30">
        <f>+F10*EXP(-F7*F9)</f>
        <v>0.9048374180359595</v>
      </c>
      <c r="G23" s="31"/>
      <c r="H23" s="30">
        <f>+H5*EXP(-H7*H9)</f>
        <v>0.9048374180359595</v>
      </c>
      <c r="I23" s="30">
        <f>+I10*EXP(-I7*I9)</f>
        <v>0.9048374180359595</v>
      </c>
      <c r="J23" s="31"/>
      <c r="K23" s="32">
        <f>+K11*EXP(-K7*K9)</f>
        <v>0.9048374180359595</v>
      </c>
      <c r="L23" s="11"/>
      <c r="M23" s="11"/>
      <c r="N23" s="11"/>
      <c r="O23" s="11"/>
      <c r="P23" s="11"/>
    </row>
    <row r="24" spans="2:16" ht="13.5">
      <c r="B24" s="29" t="s">
        <v>22</v>
      </c>
      <c r="C24" s="35">
        <f>NORMSDIST(C15)</f>
        <v>0.8289438877527765</v>
      </c>
      <c r="D24" s="35">
        <f>NORMSDIST(D15)</f>
        <v>0.8289438877527765</v>
      </c>
      <c r="E24" s="31" t="s">
        <v>22</v>
      </c>
      <c r="F24" s="35">
        <f>NORMSDIST(F15)</f>
        <v>0.8289438877527765</v>
      </c>
      <c r="G24" s="31" t="s">
        <v>32</v>
      </c>
      <c r="H24" s="35">
        <f>NORMSDIST(-H15)</f>
        <v>0.1710561122472235</v>
      </c>
      <c r="I24" s="35">
        <f>NORMSDIST(-I15)</f>
        <v>0.1710561122472235</v>
      </c>
      <c r="J24" s="31" t="s">
        <v>29</v>
      </c>
      <c r="K24" s="36">
        <f>NORMSDIST(-K15)</f>
        <v>0.1710561122472235</v>
      </c>
      <c r="L24" s="11"/>
      <c r="M24" s="11"/>
      <c r="N24" s="11"/>
      <c r="O24" s="11"/>
      <c r="P24" s="11"/>
    </row>
    <row r="25" spans="2:16" ht="14.25" thickBot="1">
      <c r="B25" s="37" t="s">
        <v>24</v>
      </c>
      <c r="C25" s="38">
        <f>+C24*C23</f>
        <v>0.7500594470909125</v>
      </c>
      <c r="D25" s="38">
        <f>+D24*D23</f>
        <v>0.7500594470909125</v>
      </c>
      <c r="E25" s="39" t="s">
        <v>24</v>
      </c>
      <c r="F25" s="38">
        <f>+F24*F23</f>
        <v>0.7500594470909125</v>
      </c>
      <c r="G25" s="39" t="s">
        <v>24</v>
      </c>
      <c r="H25" s="38">
        <f>+H24*H23</f>
        <v>0.154777970945047</v>
      </c>
      <c r="I25" s="38">
        <f>+I24*I23</f>
        <v>0.154777970945047</v>
      </c>
      <c r="J25" s="39" t="s">
        <v>24</v>
      </c>
      <c r="K25" s="40">
        <f>+K24*K23</f>
        <v>0.154777970945047</v>
      </c>
      <c r="L25" s="11"/>
      <c r="M25" s="11"/>
      <c r="N25" s="11"/>
      <c r="O25" s="11"/>
      <c r="P25" s="11"/>
    </row>
    <row r="26" spans="2:16" ht="13.5">
      <c r="B26" s="31"/>
      <c r="C26" s="47">
        <f>+C22-C25</f>
        <v>0.10308147206164753</v>
      </c>
      <c r="D26" s="47">
        <f>+D22-D25</f>
        <v>0.10308147206164753</v>
      </c>
      <c r="E26" s="31"/>
      <c r="F26" s="47">
        <f>+F22-F25</f>
        <v>0.10308147206164753</v>
      </c>
      <c r="G26" s="31"/>
      <c r="H26" s="47">
        <f>-H22+H25</f>
        <v>0.007918890097607073</v>
      </c>
      <c r="I26" s="47">
        <f>-I22+I25</f>
        <v>0.007918890097607073</v>
      </c>
      <c r="J26" s="31"/>
      <c r="K26" s="47">
        <f>-K22+K25</f>
        <v>0.007918890097607073</v>
      </c>
      <c r="L26" s="11"/>
      <c r="M26" s="11"/>
      <c r="N26" s="11"/>
      <c r="O26" s="11"/>
      <c r="P26" s="11"/>
    </row>
    <row r="27" spans="2:16" ht="14.25" thickBot="1">
      <c r="B27" s="22"/>
      <c r="C27" s="11"/>
      <c r="D27" s="11"/>
      <c r="E27" s="22"/>
      <c r="F27" s="11"/>
      <c r="G27" s="22"/>
      <c r="H27" s="11"/>
      <c r="I27" s="11"/>
      <c r="J27" s="22"/>
      <c r="K27" s="11"/>
      <c r="L27" s="11"/>
      <c r="M27" s="11"/>
      <c r="N27" s="11"/>
      <c r="O27" s="11"/>
      <c r="P27" s="11"/>
    </row>
    <row r="28" spans="2:16" ht="13.5">
      <c r="B28" s="49" t="s">
        <v>17</v>
      </c>
      <c r="C28" s="50">
        <f>IF(C13=0,10,+C4*EXP(-C7*C9)*C6*C6/2/C13)</f>
        <v>0.04524187090179798</v>
      </c>
      <c r="D28" s="50">
        <f>IF(D13=0,1000000000000,+D4*EXP(-D7*D9)*D6*D6/2/D13)</f>
        <v>0.04524187090179798</v>
      </c>
      <c r="E28" s="51"/>
      <c r="F28" s="50">
        <f>IF(F13=0,1000000000000,+F4*EXP(-F7*F9)*F6*F6/2/F13)</f>
        <v>0.04524187090179798</v>
      </c>
      <c r="G28" s="50"/>
      <c r="H28" s="50">
        <f>IF(H13=0,1000000000000,+H4*EXP(-H7*H9)*H6*H6/2/H13)</f>
        <v>0.04524187090179798</v>
      </c>
      <c r="I28" s="50">
        <f>IF(I13=0,1000000000000,+I4*EXP(-I7*I9)*I6*I6/2/I13)</f>
        <v>0.04524187090179798</v>
      </c>
      <c r="J28" s="51"/>
      <c r="K28" s="50">
        <f>IF(K13=0,1000000000000,+K4*EXP(-K7*K9)*K6*K6/2/K13)</f>
        <v>0.04524187090179798</v>
      </c>
      <c r="L28" s="11"/>
      <c r="M28" s="11"/>
      <c r="N28" s="11"/>
      <c r="O28" s="11"/>
      <c r="P28" s="11"/>
    </row>
    <row r="29" spans="1:16" ht="13.5">
      <c r="A29" t="s">
        <v>35</v>
      </c>
      <c r="B29" s="29" t="s">
        <v>40</v>
      </c>
      <c r="C29" s="30">
        <f>+EXP(C13*C9)</f>
        <v>1.1051709180756477</v>
      </c>
      <c r="D29" s="30">
        <f>+EXP(D13*D9)</f>
        <v>1.1051709180756477</v>
      </c>
      <c r="E29" s="31"/>
      <c r="F29" s="30">
        <f>+F4*EXP(-F8*F9)*F6*F6/2/F13</f>
        <v>0.05000000000000001</v>
      </c>
      <c r="G29" s="31"/>
      <c r="H29" s="30">
        <f>+EXP(H13*H9)</f>
        <v>1.1051709180756477</v>
      </c>
      <c r="I29" s="30">
        <f>+EXP(I13*I9)</f>
        <v>1.1051709180756477</v>
      </c>
      <c r="J29" s="31"/>
      <c r="K29" s="32">
        <f>+K4*EXP(-K8*K9)*K6*K6/2/K13</f>
        <v>0.05000000000000001</v>
      </c>
      <c r="L29" s="11"/>
      <c r="M29" s="11"/>
      <c r="N29" s="11"/>
      <c r="O29" s="11"/>
      <c r="P29" s="11"/>
    </row>
    <row r="30" spans="2:16" ht="13.5">
      <c r="B30" s="29" t="s">
        <v>25</v>
      </c>
      <c r="C30" s="30">
        <f>+NORMSDIST(C14)</f>
        <v>0.8531409191525601</v>
      </c>
      <c r="D30" s="30">
        <f>+NORMSDIST(D14)</f>
        <v>0.8531409191525601</v>
      </c>
      <c r="E30" s="31" t="s">
        <v>28</v>
      </c>
      <c r="F30" s="30">
        <f>+NORMSDIST(-F14)</f>
        <v>0.14685908084743993</v>
      </c>
      <c r="G30" s="31" t="s">
        <v>21</v>
      </c>
      <c r="H30" s="30">
        <f>+NORMSDIST(-H14)</f>
        <v>0.14685908084743993</v>
      </c>
      <c r="I30" s="30">
        <f>+NORMSDIST(-I14)</f>
        <v>0.14685908084743993</v>
      </c>
      <c r="J30" s="31" t="s">
        <v>25</v>
      </c>
      <c r="K30" s="32">
        <f>+NORMSDIST(K14)</f>
        <v>0.8531409191525601</v>
      </c>
      <c r="L30" s="11"/>
      <c r="M30" s="11"/>
      <c r="N30" s="11"/>
      <c r="O30" s="11"/>
      <c r="P30" s="11"/>
    </row>
    <row r="31" spans="2:16" ht="13.5">
      <c r="B31" s="29" t="s">
        <v>24</v>
      </c>
      <c r="C31" s="33">
        <f>+C30*C29*C28</f>
        <v>0.04265704595762801</v>
      </c>
      <c r="D31" s="33">
        <f>+D30*D29*D28</f>
        <v>0.04265704595762801</v>
      </c>
      <c r="E31" s="31" t="s">
        <v>24</v>
      </c>
      <c r="F31" s="33">
        <f>+F30*F29</f>
        <v>0.007342954042371998</v>
      </c>
      <c r="G31" s="31" t="s">
        <v>24</v>
      </c>
      <c r="H31" s="33">
        <f>+H30*H29*H28</f>
        <v>0.007342954042371997</v>
      </c>
      <c r="I31" s="33">
        <f>+I30*I29*I28</f>
        <v>0.007342954042371997</v>
      </c>
      <c r="J31" s="31" t="s">
        <v>24</v>
      </c>
      <c r="K31" s="34">
        <f>+K30*K29</f>
        <v>0.04265704595762801</v>
      </c>
      <c r="L31" s="11"/>
      <c r="M31" s="11"/>
      <c r="N31" s="11"/>
      <c r="O31" s="11"/>
      <c r="P31" s="11"/>
    </row>
    <row r="32" spans="2:16" ht="13.5">
      <c r="B32" s="41" t="s">
        <v>31</v>
      </c>
      <c r="C32" s="42">
        <f>((C4/C5)^(-2*C13/C6/C6))</f>
        <v>1</v>
      </c>
      <c r="D32" s="42">
        <f>((D4/D11)^(-2*D13/D6/D6))</f>
        <v>1</v>
      </c>
      <c r="E32" s="43"/>
      <c r="F32" s="42"/>
      <c r="G32" s="43"/>
      <c r="H32" s="42">
        <f>((H4/H5)^(-2*H13/H6/H6))</f>
        <v>1</v>
      </c>
      <c r="I32" s="42">
        <f>((I4/I10)^(-2*I13/I6/I6))</f>
        <v>1</v>
      </c>
      <c r="J32" s="43"/>
      <c r="K32" s="44"/>
      <c r="L32" s="12"/>
      <c r="M32" s="12"/>
      <c r="N32" s="12"/>
      <c r="O32" s="12"/>
      <c r="P32" s="11"/>
    </row>
    <row r="33" spans="2:16" ht="13.5">
      <c r="B33" s="41" t="s">
        <v>39</v>
      </c>
      <c r="C33" s="42">
        <f>NORMSDIST(C16)</f>
        <v>0.1710561122472235</v>
      </c>
      <c r="D33" s="42">
        <f>NORMSDIST(D16)</f>
        <v>0.1710561122472235</v>
      </c>
      <c r="E33" s="43" t="s">
        <v>30</v>
      </c>
      <c r="F33" s="42">
        <f>NORMSDIST(-F16)</f>
        <v>0.8289438877527765</v>
      </c>
      <c r="G33" s="43" t="s">
        <v>23</v>
      </c>
      <c r="H33" s="42">
        <f>NORMSDIST(-H16)</f>
        <v>0.8289438877527765</v>
      </c>
      <c r="I33" s="42">
        <f>NORMSDIST(-I16)</f>
        <v>0.8289438877527765</v>
      </c>
      <c r="J33" s="43" t="s">
        <v>26</v>
      </c>
      <c r="K33" s="44">
        <f>NORMSDIST(K16)</f>
        <v>0.1710561122472235</v>
      </c>
      <c r="L33" s="11"/>
      <c r="M33" s="11"/>
      <c r="N33" s="11"/>
      <c r="O33" s="11"/>
      <c r="P33" s="11"/>
    </row>
    <row r="34" spans="2:16" ht="14.25" thickBot="1">
      <c r="B34" s="37" t="s">
        <v>24</v>
      </c>
      <c r="C34" s="45">
        <f>+C33*C32*C28</f>
        <v>0.00773889854725235</v>
      </c>
      <c r="D34" s="45">
        <f>+D33*D32*D28</f>
        <v>0.00773889854725235</v>
      </c>
      <c r="E34" s="39" t="s">
        <v>24</v>
      </c>
      <c r="F34" s="45">
        <f>+F33*F28</f>
        <v>0.03750297235454563</v>
      </c>
      <c r="G34" s="39" t="s">
        <v>24</v>
      </c>
      <c r="H34" s="45">
        <f>+H33*H32*H28</f>
        <v>0.03750297235454563</v>
      </c>
      <c r="I34" s="45">
        <f>+I33*I32*I28</f>
        <v>0.03750297235454563</v>
      </c>
      <c r="J34" s="39" t="s">
        <v>24</v>
      </c>
      <c r="K34" s="46">
        <f>+K33*K28</f>
        <v>0.00773889854725235</v>
      </c>
      <c r="L34" s="11"/>
      <c r="M34" s="11"/>
      <c r="N34" s="11"/>
      <c r="O34" s="11"/>
      <c r="P34" s="11"/>
    </row>
    <row r="35" spans="2:16" ht="13.5">
      <c r="B35" s="31"/>
      <c r="C35" s="48">
        <f>+C31-C34</f>
        <v>0.03491814741037566</v>
      </c>
      <c r="D35" s="48">
        <f>+D31-D34</f>
        <v>0.03491814741037566</v>
      </c>
      <c r="E35" s="31"/>
      <c r="F35" s="48">
        <f>-F31+F34</f>
        <v>0.030160018312173634</v>
      </c>
      <c r="G35" s="31"/>
      <c r="H35" s="48">
        <f>-H31+H34</f>
        <v>0.030160018312173634</v>
      </c>
      <c r="I35" s="48">
        <f>-I31+I34</f>
        <v>0.030160018312173634</v>
      </c>
      <c r="J35" s="31"/>
      <c r="K35" s="48">
        <f>+K31-K34</f>
        <v>0.03491814741037566</v>
      </c>
      <c r="L35" s="11"/>
      <c r="M35" s="11"/>
      <c r="N35" s="11"/>
      <c r="O35" s="11"/>
      <c r="P35" s="11"/>
    </row>
    <row r="36" spans="2:16" ht="13.5">
      <c r="B36" s="22"/>
      <c r="C36" s="24">
        <f>+C26+C35+C19</f>
        <v>0.1379996194720232</v>
      </c>
      <c r="D36" s="24">
        <f>+D26+D35+D19</f>
        <v>0.1379996194720232</v>
      </c>
      <c r="E36" s="11"/>
      <c r="F36" s="11"/>
      <c r="G36" s="11"/>
      <c r="H36" s="24">
        <f>+H35+H26+H19</f>
        <v>0.038078908409780704</v>
      </c>
      <c r="I36" s="24">
        <f>+I35+I26+I19</f>
        <v>0.038078908409780704</v>
      </c>
      <c r="J36" s="11"/>
      <c r="K36" s="11"/>
      <c r="L36" s="11"/>
      <c r="M36" s="11"/>
      <c r="N36" s="11"/>
      <c r="O36" s="11"/>
      <c r="P36" s="11"/>
    </row>
    <row r="37" spans="2:11" ht="13.5">
      <c r="B37" s="23" t="s">
        <v>27</v>
      </c>
      <c r="D37" s="17">
        <f>+IF(D11&gt;D5,D36,C36)</f>
        <v>0.1379996194720232</v>
      </c>
      <c r="E37" s="10"/>
      <c r="F37" s="17">
        <f>+F22-F31-F25+F34</f>
        <v>0.13324149037382121</v>
      </c>
      <c r="G37" s="10"/>
      <c r="I37" s="17">
        <f>+IF(I10&lt;I5,I36,H36)</f>
        <v>0.038078908409780704</v>
      </c>
      <c r="J37" s="10"/>
      <c r="K37" s="17">
        <f>-K22+K31+K25-K34</f>
        <v>0.042837037507982734</v>
      </c>
    </row>
    <row r="38" spans="7:10" ht="13.5">
      <c r="G38" s="7"/>
      <c r="H38" s="7"/>
      <c r="I38" s="7"/>
      <c r="J38" s="7"/>
    </row>
    <row r="39" spans="2:15" ht="13.5">
      <c r="B39" s="7"/>
      <c r="C39" s="7"/>
      <c r="D39" s="10"/>
      <c r="E39" s="10"/>
      <c r="F39" s="10"/>
      <c r="G39" s="10"/>
      <c r="H39" s="7"/>
      <c r="I39" s="10"/>
      <c r="J39" s="10"/>
      <c r="K39" s="5"/>
      <c r="L39" s="5"/>
      <c r="M39" s="5"/>
      <c r="N39" s="5"/>
      <c r="O39" s="5"/>
    </row>
    <row r="40" spans="1:15" ht="13.5">
      <c r="A40" t="s">
        <v>44</v>
      </c>
      <c r="B40" s="7" t="s">
        <v>36</v>
      </c>
      <c r="C40" s="15">
        <f>+C22/C4</f>
        <v>0.8531409191525601</v>
      </c>
      <c r="D40" s="15">
        <f>+D22/D4</f>
        <v>0.8531409191525601</v>
      </c>
      <c r="E40" s="10"/>
      <c r="F40" s="10"/>
      <c r="G40" s="10"/>
      <c r="H40" s="15">
        <f>+-H22/H4</f>
        <v>-0.14685908084743993</v>
      </c>
      <c r="I40" s="15">
        <f>+-I22/I4</f>
        <v>-0.14685908084743993</v>
      </c>
      <c r="J40" s="10"/>
      <c r="K40" s="5"/>
      <c r="L40" s="5"/>
      <c r="M40" s="5"/>
      <c r="N40" s="5"/>
      <c r="O40" s="5"/>
    </row>
    <row r="41" spans="2:15" ht="13.5">
      <c r="B41" s="7"/>
      <c r="C41" s="7"/>
      <c r="D41" s="18"/>
      <c r="E41" s="18"/>
      <c r="F41" s="18"/>
      <c r="G41" s="18"/>
      <c r="H41" s="7"/>
      <c r="I41" s="18"/>
      <c r="J41" s="18"/>
      <c r="K41" s="5"/>
      <c r="L41" s="5"/>
      <c r="M41" s="5"/>
      <c r="N41" s="5"/>
      <c r="O41" s="5"/>
    </row>
    <row r="42" spans="2:15" ht="13.5">
      <c r="B42" s="7" t="s">
        <v>37</v>
      </c>
      <c r="C42" s="7">
        <f>+C28/C4</f>
        <v>0.04524187090179798</v>
      </c>
      <c r="D42" s="7">
        <f>+D28/D4</f>
        <v>0.04524187090179798</v>
      </c>
      <c r="E42" s="7"/>
      <c r="F42" s="8"/>
      <c r="G42" s="8"/>
      <c r="H42" s="7">
        <f>+H28/H4</f>
        <v>0.04524187090179798</v>
      </c>
      <c r="I42" s="7">
        <f>+I28/I4</f>
        <v>0.04524187090179798</v>
      </c>
      <c r="J42" s="8"/>
      <c r="K42" s="5"/>
      <c r="L42" s="5"/>
      <c r="M42" s="5"/>
      <c r="N42" s="5"/>
      <c r="O42" s="5"/>
    </row>
    <row r="43" spans="2:15" ht="13.5">
      <c r="B43" s="7"/>
      <c r="C43" s="7">
        <f>-C32*C33+C29*C30</f>
        <v>0.7718104206205133</v>
      </c>
      <c r="D43" s="7">
        <f>+-D32*D33+D29*D30</f>
        <v>0.7718104206205133</v>
      </c>
      <c r="E43" s="7"/>
      <c r="F43" s="8"/>
      <c r="G43" s="8"/>
      <c r="H43" s="7">
        <f>+H32*H33-H29*H30</f>
        <v>0.6666395025448655</v>
      </c>
      <c r="I43" s="7">
        <f>+I32*I33-I29*I30</f>
        <v>0.6666395025448655</v>
      </c>
      <c r="J43" s="8"/>
      <c r="K43" s="5"/>
      <c r="L43" s="5"/>
      <c r="M43" s="5"/>
      <c r="N43" s="5"/>
      <c r="O43" s="5"/>
    </row>
    <row r="44" spans="1:15" ht="13.5">
      <c r="A44" t="s">
        <v>43</v>
      </c>
      <c r="B44" s="7"/>
      <c r="C44" s="1">
        <f>+C42*C43</f>
        <v>0.03491814741037566</v>
      </c>
      <c r="D44" s="1">
        <f>+D42*D43</f>
        <v>0.03491814741037566</v>
      </c>
      <c r="E44" s="10"/>
      <c r="F44" s="10"/>
      <c r="G44" s="10"/>
      <c r="H44" s="1">
        <f>+H42*H43</f>
        <v>0.03016001831217363</v>
      </c>
      <c r="I44" s="1">
        <f>+I42*I43</f>
        <v>0.03016001831217363</v>
      </c>
      <c r="J44" s="10"/>
      <c r="K44" s="2">
        <f>2^0</f>
        <v>1</v>
      </c>
      <c r="L44" s="2"/>
      <c r="M44" s="2"/>
      <c r="N44" s="2"/>
      <c r="O44" s="2"/>
    </row>
    <row r="45" spans="2:15" ht="13.5">
      <c r="B45" s="7"/>
      <c r="C45" s="7"/>
      <c r="D45" s="7"/>
      <c r="E45" s="7"/>
      <c r="F45" s="10"/>
      <c r="G45" s="10"/>
      <c r="H45" s="7"/>
      <c r="I45" s="7"/>
      <c r="J45" s="10"/>
      <c r="K45" s="2">
        <f>+EXP(0)</f>
        <v>1</v>
      </c>
      <c r="L45" s="2"/>
      <c r="M45" s="2"/>
      <c r="N45" s="2"/>
      <c r="O45" s="2"/>
    </row>
    <row r="46" spans="2:15" ht="13.5">
      <c r="B46" s="7"/>
      <c r="C46" s="7">
        <f>2*C13/C6/C6*((C4/C5)^(-2*C13/C6/C6))/C4*C33</f>
        <v>3.42112224494447</v>
      </c>
      <c r="D46" s="7">
        <f>2*D13/D6/D6*(D4/D11)^(-2*D13/D6/D6)*D33/D4</f>
        <v>3.42112224494447</v>
      </c>
      <c r="E46" s="10"/>
      <c r="F46" s="10"/>
      <c r="G46" s="10"/>
      <c r="H46" s="52">
        <f>-2*H13/H6/H6*(H4/H5)^(-2*H13/H6/H6)*H33/H4</f>
        <v>-16.57887775505553</v>
      </c>
      <c r="I46" s="52">
        <f>-2*I13/I6/I6*(I4/I10)^(-2*I13/I6/I6)*I33/I10</f>
        <v>-16.57887775505553</v>
      </c>
      <c r="J46" s="10"/>
      <c r="K46" s="2"/>
      <c r="L46" s="2"/>
      <c r="M46" s="2"/>
      <c r="N46" s="2"/>
      <c r="O46" s="2"/>
    </row>
    <row r="47" spans="2:15" ht="13.5">
      <c r="B47" s="7" t="s">
        <v>33</v>
      </c>
      <c r="C47" s="7">
        <f>1/SQRT(2*PI())*EXP(-(C16^2)/2)</f>
        <v>0.254059056469189</v>
      </c>
      <c r="D47" s="7">
        <f>1/SQRT(2*3.141516)*EXP(-(D16^2)/2)</f>
        <v>0.2540621559950077</v>
      </c>
      <c r="E47" s="10"/>
      <c r="F47" s="10"/>
      <c r="G47" s="10"/>
      <c r="H47" s="7">
        <f>1/SQRT(2*3.141516)*EXP(-(-H16^2)/2)</f>
        <v>0.2540621559950077</v>
      </c>
      <c r="I47" s="7">
        <f>1/SQRT(2*3.141516)*EXP(-(-I16^2)/2)</f>
        <v>0.2540621559950077</v>
      </c>
      <c r="J47" s="10"/>
      <c r="K47" s="2"/>
      <c r="L47" s="2"/>
      <c r="M47" s="2"/>
      <c r="N47" s="2"/>
      <c r="O47" s="2"/>
    </row>
    <row r="48" spans="2:15" ht="13.5">
      <c r="B48" s="7" t="s">
        <v>38</v>
      </c>
      <c r="C48" s="7">
        <f>+(1/C4)/C6/SQRT(C9)</f>
        <v>10</v>
      </c>
      <c r="D48" s="7">
        <f>+(1/D4)/D6/SQRT(D9)</f>
        <v>10</v>
      </c>
      <c r="E48" s="11"/>
      <c r="F48" s="11"/>
      <c r="G48" s="11"/>
      <c r="H48" s="7">
        <f>+-(1/H4)/H6/SQRT(H9)</f>
        <v>-10</v>
      </c>
      <c r="I48" s="7">
        <f>+-(1/I4)/I6/SQRT(I9)</f>
        <v>-10</v>
      </c>
      <c r="J48" s="11"/>
      <c r="K48" s="5"/>
      <c r="L48" s="5"/>
      <c r="M48" s="5"/>
      <c r="N48" s="5"/>
      <c r="O48" s="5"/>
    </row>
    <row r="49" spans="2:15" ht="13.5">
      <c r="B49" s="7"/>
      <c r="C49" s="52">
        <f>+-C47*C48+C46</f>
        <v>0.8805316802525796</v>
      </c>
      <c r="D49" s="52">
        <f>+-D47*D48+D46</f>
        <v>0.8805006849943928</v>
      </c>
      <c r="E49" s="10"/>
      <c r="F49" s="10"/>
      <c r="G49" s="10"/>
      <c r="H49" s="52">
        <f>+-H47*H48+H46</f>
        <v>-14.038256195105452</v>
      </c>
      <c r="I49" s="52">
        <f>+-I47*I48+I46</f>
        <v>-14.038256195105452</v>
      </c>
      <c r="J49" s="10"/>
      <c r="K49" s="9"/>
      <c r="L49" s="9"/>
      <c r="M49" s="9"/>
      <c r="N49" s="9"/>
      <c r="O49" s="9"/>
    </row>
    <row r="50" spans="2:15" ht="13.5">
      <c r="B50" s="7" t="s">
        <v>41</v>
      </c>
      <c r="C50" s="7">
        <f>1/SQRT(2*3.141516)*EXP(-(C14^2)/2)</f>
        <v>0.22988494525117192</v>
      </c>
      <c r="D50" s="7">
        <f>1/SQRT(2*3.141516)*EXP(-(D14^2)/2)</f>
        <v>0.22988494525117192</v>
      </c>
      <c r="E50" s="6"/>
      <c r="F50" s="6"/>
      <c r="G50" s="6"/>
      <c r="H50" s="7">
        <f>1/SQRT(2*3.141516)*EXP(-(-H14^2)/2)</f>
        <v>0.22988494525117192</v>
      </c>
      <c r="I50" s="7">
        <f>1/SQRT(2*3.141516)*EXP(-(-I14^2)/2)</f>
        <v>0.22988494525117192</v>
      </c>
      <c r="J50" s="6"/>
      <c r="K50" s="6"/>
      <c r="L50" s="6"/>
      <c r="M50" s="6"/>
      <c r="N50" s="6"/>
      <c r="O50" s="6"/>
    </row>
    <row r="51" spans="2:15" ht="13.5">
      <c r="B51" s="7" t="s">
        <v>42</v>
      </c>
      <c r="C51" s="2">
        <f>+(1/C4)/$C$6/SQRT($C$9)</f>
        <v>10</v>
      </c>
      <c r="D51" s="2">
        <f>+(1/D4)/D6/SQRT(D9)</f>
        <v>10</v>
      </c>
      <c r="E51" s="11"/>
      <c r="F51" s="11"/>
      <c r="G51" s="11"/>
      <c r="H51" s="2">
        <f>+-(1/H4)/$H$6/SQRT($H$9)</f>
        <v>-10</v>
      </c>
      <c r="I51" s="2">
        <f>+-(1/I4)/$I$6/SQRT($I$9)</f>
        <v>-10</v>
      </c>
      <c r="J51" s="11"/>
      <c r="K51" s="6"/>
      <c r="L51" s="6"/>
      <c r="M51" s="6"/>
      <c r="N51" s="6"/>
      <c r="O51" s="6"/>
    </row>
    <row r="52" spans="2:15" ht="13.5">
      <c r="B52" s="7"/>
      <c r="C52" s="52">
        <f>+C51*C50*C29</f>
        <v>2.5406215599500768</v>
      </c>
      <c r="D52" s="52">
        <f>+D51*D50*D29</f>
        <v>2.5406215599500768</v>
      </c>
      <c r="E52" s="11"/>
      <c r="F52" s="11"/>
      <c r="G52" s="11"/>
      <c r="H52" s="52">
        <f>+H51*H50*H29</f>
        <v>-2.5406215599500768</v>
      </c>
      <c r="I52" s="52">
        <f>+I51*I50*I29</f>
        <v>-2.5406215599500768</v>
      </c>
      <c r="J52" s="6"/>
      <c r="K52" s="6"/>
      <c r="L52" s="6"/>
      <c r="M52" s="6"/>
      <c r="N52" s="6"/>
      <c r="O52" s="6"/>
    </row>
    <row r="53" spans="2:15" ht="13.5">
      <c r="B53" s="7"/>
      <c r="C53" s="11">
        <f>+C49+C52</f>
        <v>3.4211532402026563</v>
      </c>
      <c r="D53" s="11">
        <f>++D49+D52</f>
        <v>3.4211222449444696</v>
      </c>
      <c r="E53" s="12"/>
      <c r="F53" s="12"/>
      <c r="G53" s="12"/>
      <c r="H53" s="11">
        <f>++H49+H52</f>
        <v>-16.57887775505553</v>
      </c>
      <c r="I53" s="11">
        <f>++I49+I52</f>
        <v>-16.57887775505553</v>
      </c>
      <c r="J53" s="13"/>
      <c r="K53" s="13"/>
      <c r="L53" s="13"/>
      <c r="M53" s="13"/>
      <c r="N53" s="13"/>
      <c r="O53" s="13"/>
    </row>
    <row r="54" spans="1:15" ht="13.5">
      <c r="A54" t="s">
        <v>45</v>
      </c>
      <c r="B54" s="7"/>
      <c r="C54" s="1">
        <f>+C53*C28</f>
        <v>0.15477937322851643</v>
      </c>
      <c r="D54" s="1">
        <f>+D53*D28</f>
        <v>0.15477797094504697</v>
      </c>
      <c r="E54" s="12"/>
      <c r="F54" s="12"/>
      <c r="G54" s="12"/>
      <c r="H54" s="1">
        <f>+H53*H28</f>
        <v>-0.7500594470909125</v>
      </c>
      <c r="I54" s="1">
        <f>+I53*I28</f>
        <v>-0.7500594470909125</v>
      </c>
      <c r="J54" s="13"/>
      <c r="K54" s="13"/>
      <c r="L54" s="13"/>
      <c r="M54" s="13"/>
      <c r="N54" s="13"/>
      <c r="O54" s="13"/>
    </row>
    <row r="55" spans="2:15" ht="13.5">
      <c r="B55" s="7"/>
      <c r="C55" s="11">
        <f>+C40+C44+C54</f>
        <v>1.0428384397914523</v>
      </c>
      <c r="D55" s="11">
        <f>+D40+D44+D54</f>
        <v>1.0428370375079827</v>
      </c>
      <c r="E55" s="10"/>
      <c r="F55" s="10"/>
      <c r="G55" s="10"/>
      <c r="H55" s="11">
        <f>+H40+H44+H54</f>
        <v>-0.8667585096261788</v>
      </c>
      <c r="I55" s="11">
        <f>+I40+I44+I54</f>
        <v>-0.8667585096261788</v>
      </c>
      <c r="J55" s="10"/>
      <c r="K55" s="10"/>
      <c r="L55" s="10"/>
      <c r="M55" s="10"/>
      <c r="N55" s="10"/>
      <c r="O55" s="10"/>
    </row>
    <row r="56" spans="4:15" ht="13.5">
      <c r="D56" s="8"/>
      <c r="E56" s="8"/>
      <c r="F56" s="8"/>
      <c r="G56" s="8"/>
      <c r="H56" s="7"/>
      <c r="I56" s="8"/>
      <c r="J56" s="8"/>
      <c r="K56" s="8"/>
      <c r="L56" s="8"/>
      <c r="M56" s="8"/>
      <c r="N56" s="8"/>
      <c r="O56" s="8"/>
    </row>
    <row r="57" spans="4:15" ht="13.5">
      <c r="D57" s="10"/>
      <c r="E57" s="10"/>
      <c r="F57" s="10"/>
      <c r="G57" s="10"/>
      <c r="H57" s="14"/>
      <c r="I57" s="10"/>
      <c r="J57" s="10"/>
      <c r="K57" s="10"/>
      <c r="L57" s="10"/>
      <c r="M57" s="10"/>
      <c r="N57" s="10"/>
      <c r="O57" s="10"/>
    </row>
    <row r="58" spans="4:15" ht="13.5">
      <c r="D58" s="8"/>
      <c r="E58" s="8"/>
      <c r="F58" s="8"/>
      <c r="G58" s="8"/>
      <c r="H58" s="7"/>
      <c r="I58" s="7"/>
      <c r="J58" s="7"/>
      <c r="K58" s="7"/>
      <c r="L58" s="7"/>
      <c r="M58" s="7"/>
      <c r="N58" s="7"/>
      <c r="O58" s="7"/>
    </row>
    <row r="59" spans="4:15" ht="13.5">
      <c r="D59" s="8"/>
      <c r="E59" s="8"/>
      <c r="F59" s="8"/>
      <c r="G59" s="8"/>
      <c r="H59" s="7"/>
      <c r="I59" s="7"/>
      <c r="J59" s="7"/>
      <c r="K59" s="7"/>
      <c r="L59" s="7"/>
      <c r="M59" s="7"/>
      <c r="N59" s="7"/>
      <c r="O59" s="7"/>
    </row>
    <row r="60" spans="4:15" ht="13.5">
      <c r="D60" s="8"/>
      <c r="E60" s="8"/>
      <c r="F60" s="8"/>
      <c r="G60" s="8"/>
      <c r="H60" s="7"/>
      <c r="I60" s="7"/>
      <c r="J60" s="7"/>
      <c r="K60" s="7"/>
      <c r="L60" s="7"/>
      <c r="M60" s="7"/>
      <c r="N60" s="7"/>
      <c r="O60" s="7"/>
    </row>
  </sheetData>
  <printOptions/>
  <pageMargins left="0.23" right="0.26" top="1" bottom="1" header="0.512" footer="0.512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</dc:creator>
  <cp:keywords/>
  <dc:description/>
  <cp:lastModifiedBy>moriya</cp:lastModifiedBy>
  <cp:lastPrinted>2003-02-28T16:03:17Z</cp:lastPrinted>
  <dcterms:created xsi:type="dcterms:W3CDTF">2003-02-27T02:54:09Z</dcterms:created>
  <dcterms:modified xsi:type="dcterms:W3CDTF">2003-03-01T22:21:32Z</dcterms:modified>
  <cp:category/>
  <cp:version/>
  <cp:contentType/>
  <cp:contentStatus/>
</cp:coreProperties>
</file>